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550" windowHeight="4860" tabRatio="611" activeTab="0"/>
  </bookViews>
  <sheets>
    <sheet name="Antenna Topology" sheetId="1" r:id="rId1"/>
  </sheets>
  <definedNames>
    <definedName name="AntennaCap">'Antenna Topology'!$C$45</definedName>
    <definedName name="AntennaInductance">'Antenna Topology'!$C$39</definedName>
    <definedName name="AntennaResistance">'Antenna Topology'!$C$44</definedName>
    <definedName name="Cap">'Antenna Topology'!$D$81</definedName>
    <definedName name="Cap2A">'Antenna Topology'!#REF!</definedName>
    <definedName name="Cap2B">'Antenna Topology'!#REF!</definedName>
    <definedName name="CapC1">'Antenna Topology'!$C$62</definedName>
    <definedName name="CapC2">'Antenna Topology'!$C$63</definedName>
    <definedName name="CapC2B">'Antenna Topology'!#REF!</definedName>
    <definedName name="DampingResistor">'Antenna Topology'!$C$32</definedName>
    <definedName name="EMCCap">'Antenna Topology'!$C$13</definedName>
    <definedName name="EMCInductance">'Antenna Topology'!$C$10</definedName>
    <definedName name="fr0" localSheetId="0">'Antenna Topology'!$C$11</definedName>
    <definedName name="fr0">#REF!</definedName>
    <definedName name="Inductance">'Antenna Topology'!$B$72</definedName>
    <definedName name="RqChoosen">'Antenna Topology'!$C$33</definedName>
  </definedNames>
  <calcPr fullCalcOnLoad="1"/>
</workbook>
</file>

<file path=xl/sharedStrings.xml><?xml version="1.0" encoding="utf-8"?>
<sst xmlns="http://schemas.openxmlformats.org/spreadsheetml/2006/main" count="138" uniqueCount="75">
  <si>
    <t>Step 1</t>
  </si>
  <si>
    <t>value</t>
  </si>
  <si>
    <t>unit</t>
  </si>
  <si>
    <t>annotation</t>
  </si>
  <si>
    <t>[Hz]</t>
  </si>
  <si>
    <t>omega =</t>
  </si>
  <si>
    <r>
      <t>[s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</t>
    </r>
  </si>
  <si>
    <r>
      <t>L</t>
    </r>
    <r>
      <rPr>
        <vertAlign val="subscript"/>
        <sz val="10"/>
        <rFont val="Arial"/>
        <family val="0"/>
      </rPr>
      <t xml:space="preserve">0 </t>
    </r>
    <r>
      <rPr>
        <sz val="10"/>
        <rFont val="Arial"/>
        <family val="0"/>
      </rPr>
      <t>=</t>
    </r>
  </si>
  <si>
    <t>[H]</t>
  </si>
  <si>
    <t>[F]</t>
  </si>
  <si>
    <r>
      <t>R</t>
    </r>
    <r>
      <rPr>
        <vertAlign val="subscript"/>
        <sz val="10"/>
        <rFont val="Arial"/>
        <family val="2"/>
      </rPr>
      <t xml:space="preserve">match </t>
    </r>
    <r>
      <rPr>
        <sz val="10"/>
        <rFont val="Arial"/>
        <family val="0"/>
      </rPr>
      <t xml:space="preserve">=  </t>
    </r>
  </si>
  <si>
    <t>[Ω]</t>
  </si>
  <si>
    <t>Step 2</t>
  </si>
  <si>
    <t>Antenna:</t>
  </si>
  <si>
    <t>linear view</t>
  </si>
  <si>
    <r>
      <t>L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</si>
  <si>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</si>
  <si>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= </t>
    </r>
  </si>
  <si>
    <r>
      <t>f</t>
    </r>
    <r>
      <rPr>
        <vertAlign val="subscript"/>
        <sz val="10"/>
        <rFont val="Arial"/>
        <family val="2"/>
      </rPr>
      <t>ra</t>
    </r>
    <r>
      <rPr>
        <sz val="10"/>
        <rFont val="Arial"/>
        <family val="0"/>
      </rPr>
      <t xml:space="preserve"> = </t>
    </r>
  </si>
  <si>
    <t>self resonance frequency of the antenna</t>
  </si>
  <si>
    <t xml:space="preserve">Rp (13.56MHz) = </t>
  </si>
  <si>
    <r>
      <t>R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=</t>
    </r>
  </si>
  <si>
    <r>
      <t>C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= </t>
    </r>
  </si>
  <si>
    <r>
      <t>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= </t>
    </r>
  </si>
  <si>
    <r>
      <t>R</t>
    </r>
    <r>
      <rPr>
        <vertAlign val="subscript"/>
        <sz val="10"/>
        <rFont val="Arial"/>
        <family val="2"/>
      </rPr>
      <t>Q</t>
    </r>
    <r>
      <rPr>
        <sz val="10"/>
        <rFont val="Arial"/>
        <family val="0"/>
      </rPr>
      <t xml:space="preserve"> = </t>
    </r>
  </si>
  <si>
    <t>Step 3</t>
  </si>
  <si>
    <r>
      <t>choose an appropriate value for R</t>
    </r>
    <r>
      <rPr>
        <vertAlign val="subscript"/>
        <sz val="10"/>
        <rFont val="Arial"/>
        <family val="2"/>
      </rPr>
      <t>Q</t>
    </r>
    <r>
      <rPr>
        <sz val="10"/>
        <rFont val="Arial"/>
        <family val="2"/>
      </rPr>
      <t xml:space="preserve"> and perform a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antenna measurement for L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, R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, R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>,f</t>
    </r>
    <r>
      <rPr>
        <vertAlign val="subscript"/>
        <sz val="10"/>
        <rFont val="Arial"/>
        <family val="2"/>
      </rPr>
      <t>ra</t>
    </r>
  </si>
  <si>
    <t>Step 4</t>
  </si>
  <si>
    <r>
      <t>L</t>
    </r>
    <r>
      <rPr>
        <vertAlign val="subscript"/>
        <sz val="10"/>
        <rFont val="Arial"/>
        <family val="2"/>
      </rPr>
      <t>pa</t>
    </r>
    <r>
      <rPr>
        <sz val="10"/>
        <rFont val="Arial"/>
        <family val="0"/>
      </rPr>
      <t xml:space="preserve"> = </t>
    </r>
  </si>
  <si>
    <r>
      <t>C</t>
    </r>
    <r>
      <rPr>
        <vertAlign val="subscript"/>
        <sz val="10"/>
        <rFont val="Arial"/>
        <family val="2"/>
      </rPr>
      <t>pa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</si>
  <si>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pa</t>
    </r>
    <r>
      <rPr>
        <sz val="10"/>
        <rFont val="Arial"/>
        <family val="0"/>
      </rPr>
      <t xml:space="preserve"> = </t>
    </r>
  </si>
  <si>
    <r>
      <t>Q</t>
    </r>
    <r>
      <rPr>
        <vertAlign val="subscript"/>
        <sz val="10"/>
        <rFont val="Arial"/>
        <family val="2"/>
      </rPr>
      <t>pa</t>
    </r>
    <r>
      <rPr>
        <sz val="10"/>
        <rFont val="Arial"/>
        <family val="0"/>
      </rPr>
      <t xml:space="preserve"> = </t>
    </r>
  </si>
  <si>
    <t>fixed/calculated values</t>
  </si>
  <si>
    <t>color explanation</t>
  </si>
  <si>
    <t>chosen value for C0</t>
  </si>
  <si>
    <t>Matching Circuit:</t>
  </si>
  <si>
    <t xml:space="preserve">C2 = </t>
  </si>
  <si>
    <r>
      <t>f</t>
    </r>
    <r>
      <rPr>
        <vertAlign val="subscript"/>
        <sz val="10"/>
        <rFont val="Arial"/>
        <family val="2"/>
      </rPr>
      <t xml:space="preserve">r0 </t>
    </r>
    <r>
      <rPr>
        <sz val="10"/>
        <rFont val="Arial"/>
        <family val="0"/>
      </rPr>
      <t>=</t>
    </r>
  </si>
  <si>
    <r>
      <t>R</t>
    </r>
    <r>
      <rPr>
        <vertAlign val="subscript"/>
        <sz val="10"/>
        <rFont val="Arial"/>
        <family val="2"/>
      </rPr>
      <t xml:space="preserve">tr </t>
    </r>
    <r>
      <rPr>
        <sz val="10"/>
        <rFont val="Arial"/>
        <family val="0"/>
      </rPr>
      <t>=</t>
    </r>
  </si>
  <si>
    <r>
      <t>X</t>
    </r>
    <r>
      <rPr>
        <vertAlign val="subscript"/>
        <sz val="10"/>
        <rFont val="Arial"/>
        <family val="2"/>
      </rPr>
      <t xml:space="preserve">tr </t>
    </r>
    <r>
      <rPr>
        <sz val="10"/>
        <rFont val="Arial"/>
        <family val="0"/>
      </rPr>
      <t>=</t>
    </r>
  </si>
  <si>
    <t>Step 6</t>
  </si>
  <si>
    <t>Information</t>
  </si>
  <si>
    <t xml:space="preserve">C1 = </t>
  </si>
  <si>
    <t>Calculated Matching Components</t>
  </si>
  <si>
    <t>Fill out real values for C1 and C2 after finetuning</t>
  </si>
  <si>
    <t>to be filled out</t>
  </si>
  <si>
    <t>EMC Filter frequency</t>
  </si>
  <si>
    <t>EMC inductance</t>
  </si>
  <si>
    <t>Target Q =</t>
  </si>
  <si>
    <t>Fill out target quality factor of antenna</t>
  </si>
  <si>
    <t>Reader Mode target resonance frequency</t>
  </si>
  <si>
    <r>
      <t>f</t>
    </r>
    <r>
      <rPr>
        <vertAlign val="subscript"/>
        <sz val="10"/>
        <rFont val="Arial"/>
        <family val="2"/>
      </rPr>
      <t>res Reader</t>
    </r>
    <r>
      <rPr>
        <sz val="10"/>
        <rFont val="Arial"/>
        <family val="0"/>
      </rPr>
      <t xml:space="preserve"> =</t>
    </r>
  </si>
  <si>
    <r>
      <t>C</t>
    </r>
    <r>
      <rPr>
        <vertAlign val="subscript"/>
        <sz val="10"/>
        <rFont val="Arial"/>
        <family val="2"/>
      </rPr>
      <t xml:space="preserve">0 </t>
    </r>
    <r>
      <rPr>
        <sz val="10"/>
        <rFont val="Arial"/>
        <family val="0"/>
      </rPr>
      <t>=</t>
    </r>
  </si>
  <si>
    <r>
      <t>f</t>
    </r>
    <r>
      <rPr>
        <vertAlign val="subscript"/>
        <sz val="10"/>
        <rFont val="Arial"/>
        <family val="2"/>
      </rPr>
      <t>res EMC</t>
    </r>
    <r>
      <rPr>
        <sz val="10"/>
        <rFont val="Arial"/>
        <family val="0"/>
      </rPr>
      <t xml:space="preserve"> = </t>
    </r>
  </si>
  <si>
    <r>
      <t>C</t>
    </r>
    <r>
      <rPr>
        <vertAlign val="subscript"/>
        <sz val="10"/>
        <rFont val="Arial"/>
        <family val="2"/>
      </rPr>
      <t xml:space="preserve">0 calculated </t>
    </r>
    <r>
      <rPr>
        <sz val="10"/>
        <rFont val="Arial"/>
        <family val="0"/>
      </rPr>
      <t>=</t>
    </r>
  </si>
  <si>
    <t>Target impedance of final antenna tuning</t>
  </si>
  <si>
    <t>antenna inductance measured at 1MHz</t>
  </si>
  <si>
    <t>antenna serial resistance measured at 1MHz</t>
  </si>
  <si>
    <t>antenna parallel resistance measured at self resonance frequency of the antenna</t>
  </si>
  <si>
    <t>parallel resistance calculated at 13.56MHz based on self resonance frequency measurement</t>
  </si>
  <si>
    <t>serial and parallel resistor of antenna at 13.56MHz</t>
  </si>
  <si>
    <t>parallel capacitance of antenna</t>
  </si>
  <si>
    <t>calculated quality factor of antenna</t>
  </si>
  <si>
    <t>Resistance needed for Target Q</t>
  </si>
  <si>
    <r>
      <t>calculated quality factor of antenna including damping resistors R</t>
    </r>
    <r>
      <rPr>
        <vertAlign val="subscript"/>
        <sz val="6"/>
        <rFont val="Arial"/>
        <family val="2"/>
      </rPr>
      <t>Q</t>
    </r>
  </si>
  <si>
    <t>Parallel equivalent antenna circuit</t>
  </si>
  <si>
    <t>final values found</t>
  </si>
  <si>
    <t>When Simulating with RFSim99, take care the program is correctly installed and RFSim working path is set first</t>
  </si>
  <si>
    <t>Rqchoosen=</t>
  </si>
  <si>
    <r>
      <t>1</t>
    </r>
    <r>
      <rPr>
        <b/>
        <vertAlign val="superscript"/>
        <sz val="10"/>
        <color indexed="9"/>
        <rFont val="Arial"/>
        <family val="2"/>
      </rPr>
      <t>st</t>
    </r>
    <r>
      <rPr>
        <b/>
        <sz val="10"/>
        <color indexed="9"/>
        <rFont val="Arial"/>
        <family val="2"/>
      </rPr>
      <t xml:space="preserve"> Iteration: Measurement of Antenna parameter L</t>
    </r>
    <r>
      <rPr>
        <b/>
        <vertAlign val="subscript"/>
        <sz val="10"/>
        <color indexed="9"/>
        <rFont val="Arial"/>
        <family val="2"/>
      </rPr>
      <t>a</t>
    </r>
    <r>
      <rPr>
        <b/>
        <sz val="10"/>
        <color indexed="9"/>
        <rFont val="Arial"/>
        <family val="2"/>
      </rPr>
      <t>, R</t>
    </r>
    <r>
      <rPr>
        <b/>
        <vertAlign val="subscript"/>
        <sz val="10"/>
        <color indexed="9"/>
        <rFont val="Arial"/>
        <family val="2"/>
      </rPr>
      <t>s</t>
    </r>
    <r>
      <rPr>
        <b/>
        <sz val="10"/>
        <color indexed="9"/>
        <rFont val="Arial"/>
        <family val="2"/>
      </rPr>
      <t>, R</t>
    </r>
    <r>
      <rPr>
        <b/>
        <vertAlign val="subscript"/>
        <sz val="10"/>
        <color indexed="9"/>
        <rFont val="Arial"/>
        <family val="2"/>
      </rPr>
      <t>p,</t>
    </r>
    <r>
      <rPr>
        <b/>
        <sz val="10"/>
        <color indexed="9"/>
        <rFont val="Arial"/>
        <family val="2"/>
      </rPr>
      <t>f</t>
    </r>
    <r>
      <rPr>
        <b/>
        <vertAlign val="subscript"/>
        <sz val="10"/>
        <color indexed="9"/>
        <rFont val="Arial"/>
        <family val="2"/>
      </rPr>
      <t>ra</t>
    </r>
  </si>
  <si>
    <r>
      <t>2</t>
    </r>
    <r>
      <rPr>
        <b/>
        <vertAlign val="superscript"/>
        <sz val="10"/>
        <color indexed="9"/>
        <rFont val="Arial"/>
        <family val="2"/>
      </rPr>
      <t>nd</t>
    </r>
    <r>
      <rPr>
        <b/>
        <sz val="10"/>
        <color indexed="9"/>
        <rFont val="Arial"/>
        <family val="2"/>
      </rPr>
      <t xml:space="preserve"> Iteration: Measurement of Antenna parameter L</t>
    </r>
    <r>
      <rPr>
        <b/>
        <vertAlign val="subscript"/>
        <sz val="10"/>
        <color indexed="9"/>
        <rFont val="Arial"/>
        <family val="2"/>
      </rPr>
      <t>a</t>
    </r>
    <r>
      <rPr>
        <b/>
        <sz val="10"/>
        <color indexed="9"/>
        <rFont val="Arial"/>
        <family val="2"/>
      </rPr>
      <t>, R</t>
    </r>
    <r>
      <rPr>
        <b/>
        <vertAlign val="subscript"/>
        <sz val="10"/>
        <color indexed="9"/>
        <rFont val="Arial"/>
        <family val="2"/>
      </rPr>
      <t>s</t>
    </r>
    <r>
      <rPr>
        <b/>
        <sz val="10"/>
        <color indexed="9"/>
        <rFont val="Arial"/>
        <family val="2"/>
      </rPr>
      <t>, R</t>
    </r>
    <r>
      <rPr>
        <b/>
        <vertAlign val="subscript"/>
        <sz val="10"/>
        <color indexed="9"/>
        <rFont val="Arial"/>
        <family val="2"/>
      </rPr>
      <t>p,</t>
    </r>
    <r>
      <rPr>
        <b/>
        <sz val="10"/>
        <color indexed="9"/>
        <rFont val="Arial"/>
        <family val="2"/>
      </rPr>
      <t>f</t>
    </r>
    <r>
      <rPr>
        <b/>
        <vertAlign val="subscript"/>
        <sz val="10"/>
        <color indexed="9"/>
        <rFont val="Arial"/>
        <family val="2"/>
      </rPr>
      <t>ra</t>
    </r>
  </si>
  <si>
    <t>take appropriate values for Step 6</t>
  </si>
  <si>
    <r>
      <t xml:space="preserve">Fill out damping resistor value, which has been used
</t>
    </r>
    <r>
      <rPr>
        <b/>
        <sz val="8"/>
        <color indexed="10"/>
        <rFont val="Arial"/>
        <family val="2"/>
      </rPr>
      <t>Must be larger than 0 for Simulation!!!</t>
    </r>
  </si>
  <si>
    <t>C:\RFSim99\RFSim99.exe</t>
  </si>
  <si>
    <t>CLRC663, MFRC631, MFRC630, SLRC610 Matching Calculations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</si>
</sst>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E+0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0"/>
    <numFmt numFmtId="179" formatCode="0.00000"/>
    <numFmt numFmtId="180" formatCode="0.0000"/>
    <numFmt numFmtId="181" formatCode="0.00000000"/>
    <numFmt numFmtId="182" formatCode="0.0000000"/>
    <numFmt numFmtId="183" formatCode="0.0"/>
    <numFmt numFmtId="184" formatCode="0.0000000000"/>
    <numFmt numFmtId="185" formatCode="0.0000E+00"/>
    <numFmt numFmtId="186" formatCode="0.0E+00"/>
    <numFmt numFmtId="187" formatCode="#,##0.0"/>
    <numFmt numFmtId="188" formatCode="#,##0.000"/>
    <numFmt numFmtId="189" formatCode="&quot;€&quot;\ #,##0.00"/>
  </numFmts>
  <fonts count="61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0"/>
    </font>
    <font>
      <sz val="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0"/>
      <color indexed="17"/>
      <name val="Arial"/>
      <family val="2"/>
    </font>
    <font>
      <vertAlign val="subscript"/>
      <sz val="6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b/>
      <vertAlign val="subscript"/>
      <sz val="10"/>
      <color indexed="9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b/>
      <sz val="18"/>
      <color indexed="13"/>
      <name val="Arial Black"/>
      <family val="2"/>
    </font>
    <font>
      <sz val="18"/>
      <color indexed="13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8"/>
      <color theme="5"/>
      <name val="Arial"/>
      <family val="2"/>
    </font>
    <font>
      <b/>
      <sz val="10"/>
      <color theme="0"/>
      <name val="Arial"/>
      <family val="2"/>
    </font>
    <font>
      <b/>
      <sz val="18"/>
      <color rgb="FFFFFF00"/>
      <name val="Arial Black"/>
      <family val="2"/>
    </font>
    <font>
      <sz val="18"/>
      <color rgb="FFFFFF00"/>
      <name val="Arial Blac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2" tint="-0.8999800086021423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12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172" fontId="0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2" fontId="0" fillId="0" borderId="0" xfId="0" applyNumberFormat="1" applyFill="1" applyAlignment="1">
      <alignment/>
    </xf>
    <xf numFmtId="172" fontId="0" fillId="33" borderId="15" xfId="0" applyNumberFormat="1" applyFont="1" applyFill="1" applyBorder="1" applyAlignment="1">
      <alignment horizontal="center"/>
    </xf>
    <xf numFmtId="172" fontId="0" fillId="33" borderId="16" xfId="0" applyNumberFormat="1" applyFont="1" applyFill="1" applyBorder="1" applyAlignment="1">
      <alignment horizontal="center"/>
    </xf>
    <xf numFmtId="172" fontId="0" fillId="33" borderId="17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center"/>
    </xf>
    <xf numFmtId="0" fontId="3" fillId="0" borderId="13" xfId="0" applyFont="1" applyBorder="1" applyAlignment="1">
      <alignment vertical="center" textRotation="90"/>
    </xf>
    <xf numFmtId="0" fontId="0" fillId="0" borderId="0" xfId="0" applyBorder="1" applyAlignment="1">
      <alignment horizontal="right"/>
    </xf>
    <xf numFmtId="173" fontId="0" fillId="0" borderId="0" xfId="0" applyNumberFormat="1" applyFill="1" applyBorder="1" applyAlignment="1">
      <alignment horizontal="left"/>
    </xf>
    <xf numFmtId="173" fontId="0" fillId="0" borderId="0" xfId="0" applyNumberFormat="1" applyFill="1" applyBorder="1" applyAlignment="1">
      <alignment horizontal="right"/>
    </xf>
    <xf numFmtId="0" fontId="3" fillId="0" borderId="22" xfId="0" applyFont="1" applyBorder="1" applyAlignment="1">
      <alignment vertical="center" textRotation="90"/>
    </xf>
    <xf numFmtId="0" fontId="8" fillId="0" borderId="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23" xfId="0" applyFont="1" applyBorder="1" applyAlignment="1">
      <alignment vertical="center" textRotation="90"/>
    </xf>
    <xf numFmtId="172" fontId="0" fillId="0" borderId="0" xfId="0" applyNumberFormat="1" applyAlignment="1">
      <alignment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184" fontId="0" fillId="0" borderId="0" xfId="0" applyNumberFormat="1" applyAlignment="1">
      <alignment/>
    </xf>
    <xf numFmtId="172" fontId="0" fillId="33" borderId="24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textRotation="90"/>
    </xf>
    <xf numFmtId="172" fontId="0" fillId="0" borderId="0" xfId="0" applyNumberForma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0" fillId="0" borderId="0" xfId="0" applyNumberFormat="1" applyFill="1" applyAlignment="1">
      <alignment horizontal="left"/>
    </xf>
    <xf numFmtId="0" fontId="1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72" fontId="0" fillId="34" borderId="0" xfId="0" applyNumberFormat="1" applyFill="1" applyBorder="1" applyAlignment="1">
      <alignment horizontal="left"/>
    </xf>
    <xf numFmtId="173" fontId="0" fillId="34" borderId="21" xfId="0" applyNumberFormat="1" applyFill="1" applyBorder="1" applyAlignment="1">
      <alignment horizontal="left"/>
    </xf>
    <xf numFmtId="173" fontId="0" fillId="34" borderId="0" xfId="0" applyNumberFormat="1" applyFill="1" applyBorder="1" applyAlignment="1">
      <alignment horizontal="left"/>
    </xf>
    <xf numFmtId="173" fontId="7" fillId="34" borderId="21" xfId="0" applyNumberFormat="1" applyFont="1" applyFill="1" applyBorder="1" applyAlignment="1">
      <alignment horizontal="left"/>
    </xf>
    <xf numFmtId="173" fontId="7" fillId="34" borderId="0" xfId="0" applyNumberFormat="1" applyFont="1" applyFill="1" applyBorder="1" applyAlignment="1">
      <alignment horizontal="left"/>
    </xf>
    <xf numFmtId="172" fontId="0" fillId="34" borderId="0" xfId="0" applyNumberFormat="1" applyFont="1" applyFill="1" applyBorder="1" applyAlignment="1">
      <alignment horizontal="left"/>
    </xf>
    <xf numFmtId="172" fontId="0" fillId="34" borderId="21" xfId="0" applyNumberFormat="1" applyFont="1" applyFill="1" applyBorder="1" applyAlignment="1">
      <alignment horizontal="left"/>
    </xf>
    <xf numFmtId="172" fontId="0" fillId="35" borderId="18" xfId="0" applyNumberFormat="1" applyFill="1" applyBorder="1" applyAlignment="1">
      <alignment horizontal="left"/>
    </xf>
    <xf numFmtId="172" fontId="0" fillId="35" borderId="0" xfId="0" applyNumberFormat="1" applyFill="1" applyBorder="1" applyAlignment="1">
      <alignment horizontal="left"/>
    </xf>
    <xf numFmtId="172" fontId="0" fillId="35" borderId="19" xfId="0" applyNumberFormat="1" applyFill="1" applyBorder="1" applyAlignment="1">
      <alignment horizontal="left"/>
    </xf>
    <xf numFmtId="172" fontId="12" fillId="16" borderId="0" xfId="0" applyNumberFormat="1" applyFont="1" applyFill="1" applyBorder="1" applyAlignment="1">
      <alignment/>
    </xf>
    <xf numFmtId="172" fontId="12" fillId="16" borderId="21" xfId="0" applyNumberFormat="1" applyFont="1" applyFill="1" applyBorder="1" applyAlignment="1">
      <alignment/>
    </xf>
    <xf numFmtId="0" fontId="0" fillId="34" borderId="20" xfId="0" applyFill="1" applyBorder="1" applyAlignment="1">
      <alignment/>
    </xf>
    <xf numFmtId="172" fontId="0" fillId="35" borderId="0" xfId="0" applyNumberFormat="1" applyFont="1" applyFill="1" applyBorder="1" applyAlignment="1">
      <alignment horizontal="left"/>
    </xf>
    <xf numFmtId="1" fontId="0" fillId="35" borderId="0" xfId="0" applyNumberFormat="1" applyFont="1" applyFill="1" applyBorder="1" applyAlignment="1">
      <alignment horizontal="left"/>
    </xf>
    <xf numFmtId="172" fontId="56" fillId="35" borderId="0" xfId="0" applyNumberFormat="1" applyFont="1" applyFill="1" applyBorder="1" applyAlignment="1">
      <alignment/>
    </xf>
    <xf numFmtId="172" fontId="56" fillId="35" borderId="21" xfId="0" applyNumberFormat="1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1" xfId="0" applyBorder="1" applyAlignment="1">
      <alignment horizontal="right" vertical="center"/>
    </xf>
    <xf numFmtId="173" fontId="0" fillId="35" borderId="21" xfId="0" applyNumberFormat="1" applyFont="1" applyFill="1" applyBorder="1" applyAlignment="1">
      <alignment horizontal="left" vertical="center"/>
    </xf>
    <xf numFmtId="172" fontId="0" fillId="33" borderId="25" xfId="0" applyNumberFormat="1" applyFont="1" applyFill="1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172" fontId="0" fillId="0" borderId="0" xfId="0" applyNumberFormat="1" applyBorder="1" applyAlignment="1">
      <alignment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7" fillId="0" borderId="24" xfId="0" applyFont="1" applyBorder="1" applyAlignment="1">
      <alignment wrapText="1"/>
    </xf>
    <xf numFmtId="0" fontId="57" fillId="0" borderId="23" xfId="0" applyFont="1" applyBorder="1" applyAlignment="1">
      <alignment wrapText="1"/>
    </xf>
    <xf numFmtId="0" fontId="58" fillId="36" borderId="30" xfId="0" applyFont="1" applyFill="1" applyBorder="1" applyAlignment="1">
      <alignment horizontal="center"/>
    </xf>
    <xf numFmtId="0" fontId="58" fillId="36" borderId="31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left" vertical="center" wrapText="1"/>
    </xf>
    <xf numFmtId="0" fontId="0" fillId="35" borderId="30" xfId="0" applyFont="1" applyFill="1" applyBorder="1" applyAlignment="1">
      <alignment horizontal="left" vertical="center" wrapText="1"/>
    </xf>
    <xf numFmtId="0" fontId="0" fillId="35" borderId="31" xfId="0" applyFont="1" applyFill="1" applyBorder="1" applyAlignment="1">
      <alignment horizontal="left" vertical="center" wrapText="1"/>
    </xf>
    <xf numFmtId="0" fontId="59" fillId="37" borderId="33" xfId="0" applyFont="1" applyFill="1" applyBorder="1" applyAlignment="1">
      <alignment horizontal="center" vertical="center" wrapText="1"/>
    </xf>
    <xf numFmtId="0" fontId="59" fillId="37" borderId="34" xfId="0" applyFont="1" applyFill="1" applyBorder="1" applyAlignment="1">
      <alignment horizontal="center" vertical="center" wrapText="1"/>
    </xf>
    <xf numFmtId="0" fontId="59" fillId="37" borderId="35" xfId="0" applyFont="1" applyFill="1" applyBorder="1" applyAlignment="1">
      <alignment horizontal="center" vertical="center" wrapText="1"/>
    </xf>
    <xf numFmtId="0" fontId="60" fillId="37" borderId="20" xfId="0" applyFont="1" applyFill="1" applyBorder="1" applyAlignment="1">
      <alignment horizontal="center" vertical="center" wrapText="1"/>
    </xf>
    <xf numFmtId="0" fontId="60" fillId="37" borderId="21" xfId="0" applyFont="1" applyFill="1" applyBorder="1" applyAlignment="1">
      <alignment horizontal="center" vertical="center" wrapText="1"/>
    </xf>
    <xf numFmtId="0" fontId="60" fillId="37" borderId="14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58" fillId="36" borderId="32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 vertical="center" textRotation="90"/>
    </xf>
    <xf numFmtId="0" fontId="3" fillId="35" borderId="36" xfId="0" applyFont="1" applyFill="1" applyBorder="1" applyAlignment="1">
      <alignment horizontal="center" vertical="center" textRotation="90"/>
    </xf>
    <xf numFmtId="0" fontId="3" fillId="35" borderId="23" xfId="0" applyFont="1" applyFill="1" applyBorder="1" applyAlignment="1">
      <alignment horizontal="center" vertical="center" textRotation="90"/>
    </xf>
    <xf numFmtId="0" fontId="0" fillId="33" borderId="32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3" fillId="38" borderId="24" xfId="0" applyFont="1" applyFill="1" applyBorder="1" applyAlignment="1">
      <alignment horizontal="center" vertical="center" textRotation="90" shrinkToFit="1"/>
    </xf>
    <xf numFmtId="0" fontId="3" fillId="38" borderId="36" xfId="0" applyFont="1" applyFill="1" applyBorder="1" applyAlignment="1">
      <alignment horizontal="center" vertical="center" textRotation="90" shrinkToFit="1"/>
    </xf>
    <xf numFmtId="0" fontId="3" fillId="38" borderId="23" xfId="0" applyFont="1" applyFill="1" applyBorder="1" applyAlignment="1">
      <alignment horizontal="center" vertical="center" textRotation="90" shrinkToFit="1"/>
    </xf>
    <xf numFmtId="0" fontId="3" fillId="38" borderId="24" xfId="0" applyFont="1" applyFill="1" applyBorder="1" applyAlignment="1">
      <alignment horizontal="center" vertical="center" textRotation="90"/>
    </xf>
    <xf numFmtId="0" fontId="3" fillId="38" borderId="36" xfId="0" applyFont="1" applyFill="1" applyBorder="1" applyAlignment="1">
      <alignment horizontal="center" vertical="center" textRotation="90"/>
    </xf>
    <xf numFmtId="0" fontId="3" fillId="38" borderId="23" xfId="0" applyFont="1" applyFill="1" applyBorder="1" applyAlignment="1">
      <alignment horizontal="center" vertical="center" textRotation="9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723900</xdr:colOff>
      <xdr:row>8</xdr:row>
      <xdr:rowOff>114300</xdr:rowOff>
    </xdr:from>
    <xdr:to>
      <xdr:col>12</xdr:col>
      <xdr:colOff>342900</xdr:colOff>
      <xdr:row>27</xdr:row>
      <xdr:rowOff>9525</xdr:rowOff>
    </xdr:to>
    <xdr:pic>
      <xdr:nvPicPr>
        <xdr:cNvPr id="1" name="Picture 2" descr="RC663_Overall Top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2409825"/>
          <a:ext cx="5010150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X69"/>
  <sheetViews>
    <sheetView showGridLines="0" tabSelected="1" zoomScalePageLayoutView="0" workbookViewId="0" topLeftCell="A1">
      <selection activeCell="B1" sqref="B1:E2"/>
    </sheetView>
  </sheetViews>
  <sheetFormatPr defaultColWidth="9.140625" defaultRowHeight="12.75"/>
  <cols>
    <col min="1" max="1" width="4.28125" style="0" customWidth="1"/>
    <col min="2" max="2" width="15.8515625" style="0" bestFit="1" customWidth="1"/>
    <col min="3" max="3" width="17.140625" style="27" customWidth="1"/>
    <col min="4" max="4" width="4.8515625" style="0" customWidth="1"/>
    <col min="5" max="5" width="20.140625" style="0" customWidth="1"/>
    <col min="6" max="6" width="13.7109375" style="0" bestFit="1" customWidth="1"/>
    <col min="7" max="7" width="10.7109375" style="0" bestFit="1" customWidth="1"/>
    <col min="8" max="8" width="19.8515625" style="0" bestFit="1" customWidth="1"/>
  </cols>
  <sheetData>
    <row r="1" spans="2:24" ht="18">
      <c r="B1" s="88" t="s">
        <v>74</v>
      </c>
      <c r="C1" s="89"/>
      <c r="D1" s="89"/>
      <c r="E1" s="90"/>
      <c r="F1" s="30"/>
      <c r="X1" t="s">
        <v>73</v>
      </c>
    </row>
    <row r="2" spans="2:6" ht="36.75" customHeight="1" thickBot="1">
      <c r="B2" s="91"/>
      <c r="C2" s="92"/>
      <c r="D2" s="92"/>
      <c r="E2" s="93"/>
      <c r="F2" s="30"/>
    </row>
    <row r="3" spans="2:6" ht="55.5" customHeight="1" thickBot="1">
      <c r="B3" s="94" t="s">
        <v>67</v>
      </c>
      <c r="C3" s="95"/>
      <c r="D3" s="95"/>
      <c r="E3" s="96"/>
      <c r="F3" s="31"/>
    </row>
    <row r="4" spans="1:8" ht="13.5" thickBot="1">
      <c r="A4" s="98" t="s">
        <v>0</v>
      </c>
      <c r="B4" s="1"/>
      <c r="C4" s="2" t="s">
        <v>1</v>
      </c>
      <c r="D4" s="3" t="s">
        <v>2</v>
      </c>
      <c r="E4" s="76" t="s">
        <v>3</v>
      </c>
      <c r="G4" s="101" t="s">
        <v>33</v>
      </c>
      <c r="H4" s="102"/>
    </row>
    <row r="5" spans="1:8" ht="16.5">
      <c r="A5" s="99"/>
      <c r="B5" s="4" t="s">
        <v>51</v>
      </c>
      <c r="C5" s="52">
        <v>13560000</v>
      </c>
      <c r="D5" s="5" t="s">
        <v>4</v>
      </c>
      <c r="E5" s="71" t="s">
        <v>50</v>
      </c>
      <c r="G5" s="64"/>
      <c r="H5" s="6" t="s">
        <v>45</v>
      </c>
    </row>
    <row r="6" spans="1:8" ht="15" thickBot="1">
      <c r="A6" s="99"/>
      <c r="B6" s="4" t="s">
        <v>5</v>
      </c>
      <c r="C6" s="52">
        <f>2*PI()*C5</f>
        <v>85199992.76535518</v>
      </c>
      <c r="D6" s="5" t="s">
        <v>6</v>
      </c>
      <c r="E6" s="77"/>
      <c r="G6" s="59"/>
      <c r="H6" s="7" t="s">
        <v>32</v>
      </c>
    </row>
    <row r="7" spans="1:5" ht="12.75">
      <c r="A7" s="99"/>
      <c r="B7" s="16"/>
      <c r="C7" s="70"/>
      <c r="D7" s="16"/>
      <c r="E7" s="77"/>
    </row>
    <row r="8" spans="1:5" ht="12.75">
      <c r="A8" s="99"/>
      <c r="B8" s="16"/>
      <c r="C8" s="70"/>
      <c r="D8" s="16"/>
      <c r="E8" s="77"/>
    </row>
    <row r="9" spans="1:5" ht="12.75">
      <c r="A9" s="99"/>
      <c r="B9" s="32"/>
      <c r="C9" s="33"/>
      <c r="D9" s="5"/>
      <c r="E9" s="77"/>
    </row>
    <row r="10" spans="1:5" ht="15.75">
      <c r="A10" s="99"/>
      <c r="B10" s="4" t="s">
        <v>7</v>
      </c>
      <c r="C10" s="60">
        <v>4.7E-07</v>
      </c>
      <c r="D10" s="5" t="s">
        <v>8</v>
      </c>
      <c r="E10" s="77" t="s">
        <v>47</v>
      </c>
    </row>
    <row r="11" spans="1:5" ht="15.75">
      <c r="A11" s="99"/>
      <c r="B11" s="4" t="s">
        <v>37</v>
      </c>
      <c r="C11" s="60">
        <v>21000000</v>
      </c>
      <c r="D11" s="5" t="s">
        <v>4</v>
      </c>
      <c r="E11" s="77" t="s">
        <v>46</v>
      </c>
    </row>
    <row r="12" spans="1:5" ht="15.75">
      <c r="A12" s="99"/>
      <c r="B12" s="4" t="s">
        <v>54</v>
      </c>
      <c r="C12" s="52">
        <f>1/(2*PI()*fr0)^2/C10</f>
        <v>1.2220917600513555E-10</v>
      </c>
      <c r="D12" s="5" t="s">
        <v>9</v>
      </c>
      <c r="E12" s="77"/>
    </row>
    <row r="13" spans="1:5" ht="15.75">
      <c r="A13" s="99"/>
      <c r="B13" s="4" t="s">
        <v>52</v>
      </c>
      <c r="C13" s="60">
        <v>1.24E-10</v>
      </c>
      <c r="D13" s="5" t="s">
        <v>9</v>
      </c>
      <c r="E13" s="72" t="s">
        <v>34</v>
      </c>
    </row>
    <row r="14" spans="1:5" ht="15.75">
      <c r="A14" s="99"/>
      <c r="B14" s="20" t="s">
        <v>53</v>
      </c>
      <c r="C14" s="47">
        <f>1/(2*PI()*SQRT($C$10*$C$13))</f>
        <v>20847806.146332003</v>
      </c>
      <c r="D14" s="5" t="s">
        <v>4</v>
      </c>
      <c r="E14" s="72" t="s">
        <v>46</v>
      </c>
    </row>
    <row r="15" spans="1:5" ht="16.5">
      <c r="A15" s="99"/>
      <c r="B15" s="4" t="s">
        <v>10</v>
      </c>
      <c r="C15" s="52">
        <v>30</v>
      </c>
      <c r="D15" s="5" t="s">
        <v>11</v>
      </c>
      <c r="E15" s="72" t="s">
        <v>55</v>
      </c>
    </row>
    <row r="16" spans="1:5" ht="12.75">
      <c r="A16" s="99"/>
      <c r="B16" s="4"/>
      <c r="C16" s="34"/>
      <c r="D16" s="35"/>
      <c r="E16" s="77"/>
    </row>
    <row r="17" spans="1:5" ht="12.75">
      <c r="A17" s="99"/>
      <c r="B17" s="4"/>
      <c r="C17" s="34"/>
      <c r="D17" s="35"/>
      <c r="E17" s="77"/>
    </row>
    <row r="18" spans="1:5" ht="15.75">
      <c r="A18" s="99"/>
      <c r="B18" s="4" t="s">
        <v>38</v>
      </c>
      <c r="C18" s="52">
        <f>C15/((1-C6^2*C10*C13)^2+C6^2*C15^2/4*C13^2)</f>
        <v>83.80430178393733</v>
      </c>
      <c r="D18" s="35"/>
      <c r="E18" s="77"/>
    </row>
    <row r="19" spans="1:5" ht="16.5" thickBot="1">
      <c r="A19" s="100"/>
      <c r="B19" s="28" t="s">
        <v>39</v>
      </c>
      <c r="C19" s="53">
        <f>2*C6*(C10*(1-C6^2*C10*C13)-C15^2/4*C13)/((1-C6^2*C10*C13)^2+C6^2*C15^2/4*C13^2)</f>
        <v>115.79537920553412</v>
      </c>
      <c r="D19" s="29"/>
      <c r="E19" s="78"/>
    </row>
    <row r="20" ht="13.5" thickBot="1">
      <c r="C20" s="8"/>
    </row>
    <row r="21" spans="1:6" ht="15.75" customHeight="1" thickBot="1">
      <c r="A21" s="98" t="s">
        <v>12</v>
      </c>
      <c r="B21" s="83" t="s">
        <v>69</v>
      </c>
      <c r="C21" s="83"/>
      <c r="D21" s="83"/>
      <c r="E21" s="84"/>
      <c r="F21" s="36"/>
    </row>
    <row r="22" spans="1:6" ht="12.75">
      <c r="A22" s="99"/>
      <c r="B22" s="67" t="s">
        <v>13</v>
      </c>
      <c r="C22" s="10" t="s">
        <v>14</v>
      </c>
      <c r="D22" s="10" t="s">
        <v>2</v>
      </c>
      <c r="E22" s="11" t="s">
        <v>3</v>
      </c>
      <c r="F22" s="36"/>
    </row>
    <row r="23" spans="1:6" ht="16.5">
      <c r="A23" s="99"/>
      <c r="B23" s="68" t="s">
        <v>15</v>
      </c>
      <c r="C23" s="54">
        <f>2.29*10^-6</f>
        <v>2.29E-06</v>
      </c>
      <c r="D23" s="12" t="s">
        <v>8</v>
      </c>
      <c r="E23" s="71" t="s">
        <v>56</v>
      </c>
      <c r="F23" s="36"/>
    </row>
    <row r="24" spans="1:5" ht="16.5">
      <c r="A24" s="99"/>
      <c r="B24" s="20" t="s">
        <v>16</v>
      </c>
      <c r="C24" s="55">
        <v>0.77</v>
      </c>
      <c r="D24" s="14" t="s">
        <v>11</v>
      </c>
      <c r="E24" s="72" t="s">
        <v>57</v>
      </c>
    </row>
    <row r="25" spans="1:5" ht="24.75">
      <c r="A25" s="99"/>
      <c r="B25" s="20" t="s">
        <v>17</v>
      </c>
      <c r="C25" s="55">
        <v>22000</v>
      </c>
      <c r="D25" s="14" t="s">
        <v>11</v>
      </c>
      <c r="E25" s="72" t="s">
        <v>58</v>
      </c>
    </row>
    <row r="26" spans="1:5" ht="16.5">
      <c r="A26" s="99"/>
      <c r="B26" s="69" t="s">
        <v>18</v>
      </c>
      <c r="C26" s="56">
        <v>35020000</v>
      </c>
      <c r="D26" s="15" t="s">
        <v>4</v>
      </c>
      <c r="E26" s="72" t="s">
        <v>19</v>
      </c>
    </row>
    <row r="27" spans="1:5" ht="33">
      <c r="A27" s="99"/>
      <c r="B27" s="20" t="s">
        <v>20</v>
      </c>
      <c r="C27" s="47">
        <f>C25*1/(C5/C26)^0.5</f>
        <v>35355.00532003836</v>
      </c>
      <c r="D27" s="14" t="s">
        <v>11</v>
      </c>
      <c r="E27" s="73" t="s">
        <v>59</v>
      </c>
    </row>
    <row r="28" spans="1:5" ht="16.5">
      <c r="A28" s="99"/>
      <c r="B28" s="20" t="s">
        <v>21</v>
      </c>
      <c r="C28" s="49">
        <f>C24+(C6*C23)^2/C27</f>
        <v>1.8467110584363262</v>
      </c>
      <c r="D28" s="14" t="s">
        <v>11</v>
      </c>
      <c r="E28" s="72" t="s">
        <v>60</v>
      </c>
    </row>
    <row r="29" spans="1:5" ht="15.75">
      <c r="A29" s="99"/>
      <c r="B29" s="20" t="s">
        <v>22</v>
      </c>
      <c r="C29" s="47">
        <f>1/((2*PI()*C26)^2*C23)</f>
        <v>9.019293038207476E-12</v>
      </c>
      <c r="D29" s="14" t="s">
        <v>9</v>
      </c>
      <c r="E29" s="72" t="s">
        <v>61</v>
      </c>
    </row>
    <row r="30" spans="1:5" ht="15.75">
      <c r="A30" s="99"/>
      <c r="B30" s="20" t="s">
        <v>23</v>
      </c>
      <c r="C30" s="51">
        <f>C6*C23/C28</f>
        <v>105.65160290850699</v>
      </c>
      <c r="D30" s="16"/>
      <c r="E30" s="72" t="s">
        <v>62</v>
      </c>
    </row>
    <row r="31" spans="1:5" ht="16.5">
      <c r="A31" s="99"/>
      <c r="B31" s="20" t="s">
        <v>48</v>
      </c>
      <c r="C31" s="61">
        <v>20</v>
      </c>
      <c r="D31" s="16"/>
      <c r="E31" s="71" t="s">
        <v>49</v>
      </c>
    </row>
    <row r="32" spans="1:5" ht="15.75">
      <c r="A32" s="99"/>
      <c r="B32" s="20" t="s">
        <v>24</v>
      </c>
      <c r="C32" s="49">
        <f>0.5*(C6*C23/C31-C28)</f>
        <v>3.9543440565984214</v>
      </c>
      <c r="D32" s="14" t="s">
        <v>11</v>
      </c>
      <c r="E32" s="71" t="s">
        <v>63</v>
      </c>
    </row>
    <row r="33" spans="1:5" ht="39.75" thickBot="1">
      <c r="A33" s="100"/>
      <c r="B33" s="65" t="s">
        <v>68</v>
      </c>
      <c r="C33" s="66">
        <v>3.9</v>
      </c>
      <c r="D33" s="46" t="s">
        <v>11</v>
      </c>
      <c r="E33" s="75" t="s">
        <v>72</v>
      </c>
    </row>
    <row r="34" spans="1:5" ht="13.5" thickBot="1">
      <c r="A34" s="19"/>
      <c r="B34" s="20"/>
      <c r="C34" s="21"/>
      <c r="D34" s="14"/>
      <c r="E34" s="22"/>
    </row>
    <row r="35" spans="1:5" ht="43.5" thickBot="1">
      <c r="A35" s="23" t="s">
        <v>25</v>
      </c>
      <c r="B35" s="85" t="s">
        <v>26</v>
      </c>
      <c r="C35" s="86"/>
      <c r="D35" s="86"/>
      <c r="E35" s="87"/>
    </row>
    <row r="36" spans="1:5" ht="13.5" thickBot="1">
      <c r="A36" s="19"/>
      <c r="B36" s="24"/>
      <c r="C36" s="24"/>
      <c r="D36" s="24"/>
      <c r="E36" s="24"/>
    </row>
    <row r="37" spans="1:5" ht="15.75" customHeight="1" thickBot="1">
      <c r="A37" s="98" t="s">
        <v>27</v>
      </c>
      <c r="B37" s="97" t="s">
        <v>70</v>
      </c>
      <c r="C37" s="83"/>
      <c r="D37" s="83"/>
      <c r="E37" s="84"/>
    </row>
    <row r="38" spans="1:5" ht="12.75">
      <c r="A38" s="99"/>
      <c r="B38" s="9" t="s">
        <v>13</v>
      </c>
      <c r="C38" s="10" t="s">
        <v>14</v>
      </c>
      <c r="D38" s="10" t="s">
        <v>2</v>
      </c>
      <c r="E38" s="11" t="s">
        <v>3</v>
      </c>
    </row>
    <row r="39" spans="1:5" ht="16.5">
      <c r="A39" s="99"/>
      <c r="B39" s="13" t="s">
        <v>15</v>
      </c>
      <c r="C39" s="54">
        <f>2.29*10^-6</f>
        <v>2.29E-06</v>
      </c>
      <c r="D39" s="12" t="s">
        <v>8</v>
      </c>
      <c r="E39" s="71" t="s">
        <v>56</v>
      </c>
    </row>
    <row r="40" spans="1:5" ht="16.5">
      <c r="A40" s="99"/>
      <c r="B40" s="13" t="s">
        <v>16</v>
      </c>
      <c r="C40" s="55">
        <v>8.57</v>
      </c>
      <c r="D40" s="14" t="s">
        <v>11</v>
      </c>
      <c r="E40" s="72" t="s">
        <v>57</v>
      </c>
    </row>
    <row r="41" spans="1:5" ht="24.75">
      <c r="A41" s="99"/>
      <c r="B41" s="13" t="s">
        <v>17</v>
      </c>
      <c r="C41" s="55">
        <v>22000</v>
      </c>
      <c r="D41" s="14" t="s">
        <v>11</v>
      </c>
      <c r="E41" s="72" t="s">
        <v>58</v>
      </c>
    </row>
    <row r="42" spans="1:5" ht="16.5">
      <c r="A42" s="99"/>
      <c r="B42" s="13" t="s">
        <v>18</v>
      </c>
      <c r="C42" s="56">
        <v>35020000</v>
      </c>
      <c r="D42" s="15" t="s">
        <v>4</v>
      </c>
      <c r="E42" s="72" t="s">
        <v>19</v>
      </c>
    </row>
    <row r="43" spans="1:5" ht="24.75">
      <c r="A43" s="99"/>
      <c r="B43" s="13" t="s">
        <v>20</v>
      </c>
      <c r="C43" s="47">
        <f>C41*1/(C5/C42)^0.5</f>
        <v>35355.00532003836</v>
      </c>
      <c r="D43" s="16"/>
      <c r="E43" s="73" t="s">
        <v>59</v>
      </c>
    </row>
    <row r="44" spans="1:5" ht="16.5">
      <c r="A44" s="99"/>
      <c r="B44" s="13" t="s">
        <v>21</v>
      </c>
      <c r="C44" s="49">
        <f>C40+(C6*C39)^2/C43</f>
        <v>9.646711058436326</v>
      </c>
      <c r="D44" s="14" t="s">
        <v>11</v>
      </c>
      <c r="E44" s="72" t="s">
        <v>60</v>
      </c>
    </row>
    <row r="45" spans="1:5" ht="15.75">
      <c r="A45" s="99"/>
      <c r="B45" s="13" t="s">
        <v>22</v>
      </c>
      <c r="C45" s="47">
        <f>1/((2*PI()*C42)^2*C39)</f>
        <v>9.019293038207476E-12</v>
      </c>
      <c r="D45" s="14" t="s">
        <v>9</v>
      </c>
      <c r="E45" s="72" t="s">
        <v>61</v>
      </c>
    </row>
    <row r="46" spans="1:5" ht="17.25" thickBot="1">
      <c r="A46" s="100"/>
      <c r="B46" s="17" t="s">
        <v>23</v>
      </c>
      <c r="C46" s="50">
        <f>C6*C39/C44</f>
        <v>20.225337138302265</v>
      </c>
      <c r="D46" s="25"/>
      <c r="E46" s="74" t="s">
        <v>64</v>
      </c>
    </row>
    <row r="47" ht="13.5" thickBot="1">
      <c r="A47" s="26"/>
    </row>
    <row r="48" spans="1:5" ht="13.5" thickBot="1">
      <c r="A48" s="109" t="s">
        <v>41</v>
      </c>
      <c r="B48" s="103" t="s">
        <v>65</v>
      </c>
      <c r="C48" s="104"/>
      <c r="D48" s="104"/>
      <c r="E48" s="105"/>
    </row>
    <row r="49" spans="1:5" ht="12.75">
      <c r="A49" s="110"/>
      <c r="B49" s="9" t="s">
        <v>13</v>
      </c>
      <c r="C49" s="10" t="s">
        <v>14</v>
      </c>
      <c r="D49" s="10" t="s">
        <v>2</v>
      </c>
      <c r="E49" s="11" t="s">
        <v>3</v>
      </c>
    </row>
    <row r="50" spans="1:5" ht="15.75">
      <c r="A50" s="110"/>
      <c r="B50" s="13" t="s">
        <v>28</v>
      </c>
      <c r="C50" s="47">
        <f>C39</f>
        <v>2.29E-06</v>
      </c>
      <c r="D50" s="12" t="s">
        <v>8</v>
      </c>
      <c r="E50" s="6"/>
    </row>
    <row r="51" spans="1:5" ht="15.75">
      <c r="A51" s="110"/>
      <c r="B51" s="13" t="s">
        <v>29</v>
      </c>
      <c r="C51" s="47">
        <f>C45</f>
        <v>9.019293038207476E-12</v>
      </c>
      <c r="D51" s="14" t="s">
        <v>9</v>
      </c>
      <c r="E51" s="6"/>
    </row>
    <row r="52" spans="1:7" ht="15.75">
      <c r="A52" s="110"/>
      <c r="B52" s="13" t="s">
        <v>30</v>
      </c>
      <c r="C52" s="47">
        <f>(C6*C50)^2/(C44)</f>
        <v>3946.1247432999103</v>
      </c>
      <c r="D52" s="14" t="s">
        <v>11</v>
      </c>
      <c r="E52" s="6"/>
      <c r="G52" s="27"/>
    </row>
    <row r="53" spans="1:5" ht="16.5" thickBot="1">
      <c r="A53" s="111"/>
      <c r="B53" s="17" t="s">
        <v>31</v>
      </c>
      <c r="C53" s="48">
        <f>C52/C6/C50</f>
        <v>20.22533713830227</v>
      </c>
      <c r="D53" s="25"/>
      <c r="E53" s="7"/>
    </row>
    <row r="54" ht="12.75" customHeight="1" thickBot="1">
      <c r="C54" s="8"/>
    </row>
    <row r="55" spans="1:5" ht="18" customHeight="1" thickBot="1">
      <c r="A55" s="106" t="s">
        <v>41</v>
      </c>
      <c r="B55" s="103" t="s">
        <v>43</v>
      </c>
      <c r="C55" s="104"/>
      <c r="D55" s="104"/>
      <c r="E55" s="105"/>
    </row>
    <row r="56" spans="1:5" ht="13.5" thickBot="1">
      <c r="A56" s="107"/>
      <c r="B56" s="9" t="s">
        <v>35</v>
      </c>
      <c r="C56" s="9" t="s">
        <v>1</v>
      </c>
      <c r="D56" s="9" t="s">
        <v>2</v>
      </c>
      <c r="E56" s="37" t="s">
        <v>3</v>
      </c>
    </row>
    <row r="57" spans="1:5" ht="22.5">
      <c r="A57" s="107"/>
      <c r="B57" s="40" t="s">
        <v>42</v>
      </c>
      <c r="C57" s="57">
        <f>1/(C6*(SQRT(C18*C52/4)+C19/2))</f>
        <v>3.397807718594068E-11</v>
      </c>
      <c r="D57" s="14" t="s">
        <v>9</v>
      </c>
      <c r="E57" s="81" t="s">
        <v>71</v>
      </c>
    </row>
    <row r="58" spans="1:5" ht="23.25" thickBot="1">
      <c r="A58" s="108"/>
      <c r="B58" s="41" t="s">
        <v>36</v>
      </c>
      <c r="C58" s="58">
        <f>1/(C6^2*C50/2)-1/(C6*SQRT(C18*C52/4))-2*C51</f>
        <v>6.145530671794595E-11</v>
      </c>
      <c r="D58" s="18" t="s">
        <v>9</v>
      </c>
      <c r="E58" s="82" t="s">
        <v>71</v>
      </c>
    </row>
    <row r="59" spans="1:5" ht="13.5" thickBot="1">
      <c r="A59" s="38"/>
      <c r="B59" s="40"/>
      <c r="C59" s="42"/>
      <c r="D59" s="14"/>
      <c r="E59" s="16"/>
    </row>
    <row r="60" spans="1:5" ht="13.5" thickBot="1">
      <c r="A60" s="98" t="s">
        <v>40</v>
      </c>
      <c r="B60" s="97" t="s">
        <v>44</v>
      </c>
      <c r="C60" s="83"/>
      <c r="D60" s="83"/>
      <c r="E60" s="84"/>
    </row>
    <row r="61" spans="1:5" ht="13.5" thickBot="1">
      <c r="A61" s="99"/>
      <c r="B61" s="9" t="s">
        <v>35</v>
      </c>
      <c r="C61" s="9" t="s">
        <v>1</v>
      </c>
      <c r="D61" s="9" t="s">
        <v>2</v>
      </c>
      <c r="E61" s="37" t="s">
        <v>3</v>
      </c>
    </row>
    <row r="62" spans="1:5" ht="12.75">
      <c r="A62" s="99"/>
      <c r="B62" s="40" t="s">
        <v>42</v>
      </c>
      <c r="C62" s="62">
        <f>30*10^-12</f>
        <v>3E-11</v>
      </c>
      <c r="D62" s="14" t="s">
        <v>9</v>
      </c>
      <c r="E62" s="79" t="s">
        <v>66</v>
      </c>
    </row>
    <row r="63" spans="1:5" ht="13.5" thickBot="1">
      <c r="A63" s="100"/>
      <c r="B63" s="41" t="s">
        <v>36</v>
      </c>
      <c r="C63" s="63">
        <f>72*10^-12</f>
        <v>7.2E-11</v>
      </c>
      <c r="D63" s="18" t="s">
        <v>9</v>
      </c>
      <c r="E63" s="80" t="s">
        <v>66</v>
      </c>
    </row>
    <row r="64" spans="1:5" ht="12.75">
      <c r="A64" s="38"/>
      <c r="B64" s="16"/>
      <c r="C64" s="39"/>
      <c r="D64" s="14"/>
      <c r="E64" s="16"/>
    </row>
    <row r="65" spans="2:5" ht="12.75">
      <c r="B65" s="44"/>
      <c r="C65" s="43"/>
      <c r="D65" s="14"/>
      <c r="E65" s="45"/>
    </row>
    <row r="66" spans="2:5" ht="12.75">
      <c r="B66" s="44"/>
      <c r="C66" s="43"/>
      <c r="D66" s="14"/>
      <c r="E66" s="45"/>
    </row>
    <row r="67" spans="2:5" ht="12.75">
      <c r="B67" s="44"/>
      <c r="C67" s="43"/>
      <c r="D67" s="14"/>
      <c r="E67" s="45"/>
    </row>
    <row r="68" spans="2:5" ht="12.75">
      <c r="B68" s="44"/>
      <c r="C68" s="43"/>
      <c r="D68" s="14"/>
      <c r="E68" s="45"/>
    </row>
    <row r="69" ht="12.75">
      <c r="F69" s="27"/>
    </row>
  </sheetData>
  <sheetProtection/>
  <mergeCells count="15">
    <mergeCell ref="G4:H4"/>
    <mergeCell ref="B55:E55"/>
    <mergeCell ref="A55:A58"/>
    <mergeCell ref="A4:A19"/>
    <mergeCell ref="A21:A33"/>
    <mergeCell ref="B48:E48"/>
    <mergeCell ref="A48:A53"/>
    <mergeCell ref="A37:A46"/>
    <mergeCell ref="B21:E21"/>
    <mergeCell ref="B35:E35"/>
    <mergeCell ref="B1:E2"/>
    <mergeCell ref="B3:E3"/>
    <mergeCell ref="B37:E37"/>
    <mergeCell ref="A60:A63"/>
    <mergeCell ref="B60:E60"/>
  </mergeCells>
  <printOptions/>
  <pageMargins left="0.38" right="0.37" top="1" bottom="1" header="0.5" footer="0.5"/>
  <pageSetup fitToWidth="2" fitToHeight="1" horizontalDpi="600" verticalDpi="600" orientation="portrait" paperSize="9" scale="8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nxp</cp:lastModifiedBy>
  <dcterms:created xsi:type="dcterms:W3CDTF">2006-09-28T07:21:58Z</dcterms:created>
  <dcterms:modified xsi:type="dcterms:W3CDTF">2012-07-24T12:16:31Z</dcterms:modified>
  <cp:category/>
  <cp:version/>
  <cp:contentType/>
  <cp:contentStatus/>
</cp:coreProperties>
</file>